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rces" sheetId="1" state="visible" r:id="rId1"/>
    <sheet name="Assumptions" sheetId="2" state="visible" r:id="rId2"/>
    <sheet name="Forecast" sheetId="3" state="visible" r:id="rId3"/>
    <sheet name="DCF" sheetId="4" state="visible" r:id="rId4"/>
    <sheet name="Multiples" sheetId="5" state="visible" r:id="rId5"/>
    <sheet name="Brokers" sheetId="6" state="visible" r:id="rId6"/>
    <sheet name="Sensitivit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0.000"/>
    <numFmt numFmtId="167" formatCode="#,##0.0"/>
    <numFmt numFmtId="168" formatCode="0.0x"/>
  </numFmts>
  <fonts count="5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color rgb="001F3FD1"/>
    </font>
    <font>
      <color rgb="0011774A"/>
    </font>
  </fonts>
  <fills count="4">
    <fill>
      <patternFill/>
    </fill>
    <fill>
      <patternFill patternType="gray125"/>
    </fill>
    <fill>
      <patternFill patternType="solid">
        <fgColor rgb="00111723"/>
      </patternFill>
    </fill>
    <fill>
      <patternFill patternType="solid">
        <fgColor rgb="00FFF0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4" fontId="3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2" fontId="3" fillId="0" borderId="0" pivotButton="0" quotePrefix="0" xfId="0"/>
    <xf numFmtId="10" fontId="0" fillId="0" borderId="0" pivotButton="0" quotePrefix="0" xfId="0"/>
    <xf numFmtId="10" fontId="0" fillId="3" borderId="0" pivotButton="0" quotePrefix="0" xfId="0"/>
    <xf numFmtId="0" fontId="0" fillId="2" borderId="0" pivotButton="0" quotePrefix="0" xfId="0"/>
    <xf numFmtId="164" fontId="0" fillId="0" borderId="0" pivotButton="0" quotePrefix="0" xfId="0"/>
    <xf numFmtId="164" fontId="4" fillId="0" borderId="0" pivotButton="0" quotePrefix="0" xfId="0"/>
    <xf numFmtId="3" fontId="0" fillId="0" borderId="0" pivotButton="0" quotePrefix="0" xfId="0"/>
    <xf numFmtId="3" fontId="4" fillId="0" borderId="0" pivotButton="0" quotePrefix="0" xfId="0"/>
    <xf numFmtId="3" fontId="3" fillId="0" borderId="0" pivotButton="0" quotePrefix="0" xfId="0"/>
    <xf numFmtId="3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3" fontId="1" fillId="3" borderId="0" pivotButton="0" quotePrefix="0" xfId="0"/>
    <xf numFmtId="167" fontId="0" fillId="0" borderId="0" pivotButton="0" quotePrefix="0" xfId="0"/>
    <xf numFmtId="2" fontId="0" fillId="0" borderId="0" pivotButton="0" quotePrefix="0" xfId="0"/>
    <xf numFmtId="2" fontId="1" fillId="3" borderId="0" pivotButton="0" quotePrefix="0" xfId="0"/>
    <xf numFmtId="168" fontId="0" fillId="3" borderId="0" pivotButton="0" quotePrefix="0" xfId="0"/>
    <xf numFmtId="2" fontId="0" fillId="3" borderId="0" pivotButton="0" quotePrefix="0" xfId="0"/>
    <xf numFmtId="164" fontId="0" fillId="3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14" customWidth="1" min="3" max="3"/>
    <col width="9" customWidth="1" min="4" max="4"/>
    <col width="52" customWidth="1" min="5" max="5"/>
    <col width="48" customWidth="1" min="6" max="6"/>
    <col width="22" customWidth="1" min="7" max="7"/>
  </cols>
  <sheetData>
    <row r="1">
      <c r="A1" s="1" t="inlineStr">
        <is>
          <t>Verified source figures. Every model input links here.</t>
        </is>
      </c>
    </row>
    <row r="3">
      <c r="A3" s="2" t="inlineStr">
        <is>
          <t>Key</t>
        </is>
      </c>
      <c r="B3" s="2" t="inlineStr">
        <is>
          <t>Figure</t>
        </is>
      </c>
      <c r="C3" s="2" t="inlineStr">
        <is>
          <t>Value</t>
        </is>
      </c>
      <c r="D3" s="2" t="inlineStr">
        <is>
          <t>Unit</t>
        </is>
      </c>
      <c r="E3" s="2" t="inlineStr">
        <is>
          <t>Document</t>
        </is>
      </c>
      <c r="F3" s="2" t="inlineStr">
        <is>
          <t>Reference</t>
        </is>
      </c>
      <c r="G3" s="2" t="inlineStr">
        <is>
          <t>Check</t>
        </is>
      </c>
    </row>
    <row r="4">
      <c r="A4" t="inlineStr">
        <is>
          <t>rev25</t>
        </is>
      </c>
      <c r="B4" t="inlineStr">
        <is>
          <t>Total Group – Revenues</t>
        </is>
      </c>
      <c r="C4" s="3" t="n">
        <v>40152</v>
      </c>
      <c r="D4" t="inlineStr">
        <is>
          <t>EUR million</t>
        </is>
      </c>
      <c r="E4" t="inlineStr">
        <is>
          <t>Schneider Electric FY2025 results release, 26 Feb 2026 (AMF)</t>
        </is>
      </c>
      <c r="F4" t="inlineStr">
        <is>
          <t>p.18 · “40,152”</t>
        </is>
      </c>
      <c r="G4" t="inlineStr">
        <is>
          <t>Found on cited page</t>
        </is>
      </c>
    </row>
    <row r="5">
      <c r="A5" t="inlineStr">
        <is>
          <t>ebita25</t>
        </is>
      </c>
      <c r="B5" t="inlineStr">
        <is>
          <t>Total Group – Adjusted EBITA</t>
        </is>
      </c>
      <c r="C5" s="3" t="n">
        <v>7520</v>
      </c>
      <c r="D5" t="inlineStr">
        <is>
          <t>EUR million</t>
        </is>
      </c>
      <c r="E5" t="inlineStr">
        <is>
          <t>Schneider Electric FY2025 results release, 26 Feb 2026 (AMF)</t>
        </is>
      </c>
      <c r="F5" t="inlineStr">
        <is>
          <t>p.18 · “7,520”</t>
        </is>
      </c>
      <c r="G5" t="inlineStr">
        <is>
          <t>Found on cited page</t>
        </is>
      </c>
    </row>
    <row r="6">
      <c r="A6" t="inlineStr">
        <is>
          <t>ppa25</t>
        </is>
      </c>
      <c r="B6" t="inlineStr">
        <is>
          <t>Amortization of purchase accounting intangibles</t>
        </is>
      </c>
      <c r="C6" s="3" t="n">
        <v>-457</v>
      </c>
      <c r="D6" t="inlineStr">
        <is>
          <t>EUR million</t>
        </is>
      </c>
      <c r="E6" t="inlineStr">
        <is>
          <t>Schneider Electric FY2025 results release, 26 Feb 2026 (AMF)</t>
        </is>
      </c>
      <c r="F6" t="inlineStr">
        <is>
          <t>p.18 · “(457)”</t>
        </is>
      </c>
      <c r="G6" t="inlineStr">
        <is>
          <t>Found on cited page</t>
        </is>
      </c>
    </row>
    <row r="7">
      <c r="A7" t="inlineStr">
        <is>
          <t>netfin25</t>
        </is>
      </c>
      <c r="B7" t="inlineStr">
        <is>
          <t>Net financial income/(loss)</t>
        </is>
      </c>
      <c r="C7" s="3" t="n">
        <v>-519</v>
      </c>
      <c r="D7" t="inlineStr">
        <is>
          <t>EUR million</t>
        </is>
      </c>
      <c r="E7" t="inlineStr">
        <is>
          <t>Schneider Electric FY2025 results release, 26 Feb 2026 (AMF)</t>
        </is>
      </c>
      <c r="F7" t="inlineStr">
        <is>
          <t>p.18 · “(519)”</t>
        </is>
      </c>
      <c r="G7" t="inlineStr">
        <is>
          <t>Found on cited page</t>
        </is>
      </c>
    </row>
    <row r="8">
      <c r="A8" t="inlineStr">
        <is>
          <t>ni25</t>
        </is>
      </c>
      <c r="B8" t="inlineStr">
        <is>
          <t>Net Income (Group share)</t>
        </is>
      </c>
      <c r="C8" s="3" t="n">
        <v>4163</v>
      </c>
      <c r="D8" t="inlineStr">
        <is>
          <t>EUR million</t>
        </is>
      </c>
      <c r="E8" t="inlineStr">
        <is>
          <t>Schneider Electric FY2025 results release, 26 Feb 2026 (AMF)</t>
        </is>
      </c>
      <c r="F8" t="inlineStr">
        <is>
          <t>p.10 · “4,163”</t>
        </is>
      </c>
      <c r="G8" t="inlineStr">
        <is>
          <t>Found on cited page</t>
        </is>
      </c>
    </row>
    <row r="9">
      <c r="A9" t="inlineStr">
        <is>
          <t>netdebt25</t>
        </is>
      </c>
      <c r="B9" t="inlineStr">
        <is>
          <t>Net financial debt</t>
        </is>
      </c>
      <c r="C9" s="3" t="n">
        <v>13721</v>
      </c>
      <c r="D9" t="inlineStr">
        <is>
          <t>EUR million</t>
        </is>
      </c>
      <c r="E9" t="inlineStr">
        <is>
          <t>Schneider Electric FY2025 results release, 26 Feb 2026 (AMF)</t>
        </is>
      </c>
      <c r="F9" t="inlineStr">
        <is>
          <t>p.19 · “13,721”</t>
        </is>
      </c>
      <c r="G9" t="inlineStr">
        <is>
          <t>Found on cited page</t>
        </is>
      </c>
    </row>
    <row r="10">
      <c r="A10" t="inlineStr">
        <is>
          <t>capex25</t>
        </is>
      </c>
      <c r="B10" t="inlineStr">
        <is>
          <t>Capital expenditure – net</t>
        </is>
      </c>
      <c r="C10" s="3" t="n">
        <v>-1496</v>
      </c>
      <c r="D10" t="inlineStr">
        <is>
          <t>EUR million</t>
        </is>
      </c>
      <c r="E10" t="inlineStr">
        <is>
          <t>Schneider Electric FY2025 results release, 26 Feb 2026 (AMF)</t>
        </is>
      </c>
      <c r="F10" t="inlineStr">
        <is>
          <t>p.19 · “(1,496)”</t>
        </is>
      </c>
      <c r="G10" t="inlineStr">
        <is>
          <t>Found on cited page</t>
        </is>
      </c>
    </row>
    <row r="11">
      <c r="A11" t="inlineStr">
        <is>
          <t>fcf25</t>
        </is>
      </c>
      <c r="B11" t="inlineStr">
        <is>
          <t>Free cash flow</t>
        </is>
      </c>
      <c r="C11" s="3" t="n">
        <v>4635</v>
      </c>
      <c r="D11" t="inlineStr">
        <is>
          <t>EUR million</t>
        </is>
      </c>
      <c r="E11" t="inlineStr">
        <is>
          <t>Schneider Electric FY2025 results release, 26 Feb 2026 (AMF)</t>
        </is>
      </c>
      <c r="F11" t="inlineStr">
        <is>
          <t>p.19 · “4,635”</t>
        </is>
      </c>
      <c r="G11" t="inlineStr">
        <is>
          <t>Found on cited page</t>
        </is>
      </c>
    </row>
    <row r="12">
      <c r="A12" t="inlineStr">
        <is>
          <t>dps25</t>
        </is>
      </c>
      <c r="B12" t="inlineStr">
        <is>
          <t>Dividend Per Share (€)</t>
        </is>
      </c>
      <c r="C12" s="3" t="n">
        <v>4.2</v>
      </c>
      <c r="D12" t="inlineStr">
        <is>
          <t>EUR</t>
        </is>
      </c>
      <c r="E12" t="inlineStr">
        <is>
          <t>Schneider Electric FY2025 results release, 26 Feb 2026 (AMF)</t>
        </is>
      </c>
      <c r="F12" t="inlineStr">
        <is>
          <t>p.1 · “4.20”</t>
        </is>
      </c>
      <c r="G12" t="inlineStr">
        <is>
          <t>Found on cited page</t>
        </is>
      </c>
    </row>
    <row r="13">
      <c r="A13" t="inlineStr">
        <is>
          <t>rev24</t>
        </is>
      </c>
      <c r="B13" t="inlineStr">
        <is>
          <t>Total Group – Revenues FY2024</t>
        </is>
      </c>
      <c r="C13" s="3" t="n">
        <v>38153</v>
      </c>
      <c r="D13" t="inlineStr">
        <is>
          <t>EUR m</t>
        </is>
      </c>
      <c r="E13" t="inlineStr">
        <is>
          <t>Schneider Electric FY2025 results release, 26 Feb 2026 (AMF)</t>
        </is>
      </c>
      <c r="F13" t="inlineStr">
        <is>
          <t>p.18</t>
        </is>
      </c>
      <c r="G13" t="inlineStr">
        <is>
          <t>Found on cited page</t>
        </is>
      </c>
    </row>
    <row r="14">
      <c r="A14" t="inlineStr">
        <is>
          <t>ebita24</t>
        </is>
      </c>
      <c r="B14" t="inlineStr">
        <is>
          <t>Adjusted EBITA FY2024</t>
        </is>
      </c>
      <c r="C14" s="3" t="n">
        <v>7083</v>
      </c>
      <c r="D14" t="inlineStr">
        <is>
          <t>EUR m</t>
        </is>
      </c>
      <c r="E14" t="inlineStr">
        <is>
          <t>Schneider Electric FY2025 results release, 26 Feb 2026 (AMF)</t>
        </is>
      </c>
      <c r="F14" t="inlineStr">
        <is>
          <t>p.18</t>
        </is>
      </c>
      <c r="G14" t="inlineStr">
        <is>
          <t>Found on cited page</t>
        </is>
      </c>
    </row>
    <row r="15">
      <c r="A15" t="inlineStr">
        <is>
          <t>dnwc25</t>
        </is>
      </c>
      <c r="B15" t="inlineStr">
        <is>
          <t>Change in trade + non-trade working capital</t>
        </is>
      </c>
      <c r="C15" s="3" t="n">
        <v>-617</v>
      </c>
      <c r="D15" t="inlineStr">
        <is>
          <t>EUR m</t>
        </is>
      </c>
      <c r="E15" t="inlineStr">
        <is>
          <t>Schneider Electric FY2025 results release, 26 Feb 2026 (AMF)</t>
        </is>
      </c>
      <c r="F15" t="inlineStr">
        <is>
          <t>p.19 · sum of two printed lines</t>
        </is>
      </c>
      <c r="G15" t="inlineStr">
        <is>
          <t>Found on cited page</t>
        </is>
      </c>
    </row>
    <row r="16">
      <c r="A16" t="inlineStr">
        <is>
          <t>dep25</t>
        </is>
      </c>
      <c r="B16" t="inlineStr">
        <is>
          <t>Depreciation of PP&amp;E (company tag)</t>
        </is>
      </c>
      <c r="C16" s="3" t="n">
        <v>871</v>
      </c>
      <c r="D16" t="inlineStr">
        <is>
          <t>EUR m</t>
        </is>
      </c>
      <c r="E16" t="inlineStr">
        <is>
          <t>FY2025 ESEF filing, filings.xbrl.org</t>
        </is>
      </c>
      <c r="F16" t="inlineStr">
        <is>
          <t>schneiderelectric:AdjustmentsForDepreciationOfPropertyPlantAndEquipment</t>
        </is>
      </c>
      <c r="G16" t="inlineStr">
        <is>
          <t>xBRL fact, exact</t>
        </is>
      </c>
    </row>
    <row r="17">
      <c r="A17" t="inlineStr">
        <is>
          <t>amort25</t>
        </is>
      </c>
      <c r="B17" t="inlineStr">
        <is>
          <t>Amortisation of intangibles (company tag)</t>
        </is>
      </c>
      <c r="C17" s="3" t="n">
        <v>781</v>
      </c>
      <c r="D17" t="inlineStr">
        <is>
          <t>EUR m</t>
        </is>
      </c>
      <c r="E17" t="inlineStr">
        <is>
          <t>FY2025 ESEF filing, filings.xbrl.org</t>
        </is>
      </c>
      <c r="F17" t="inlineStr">
        <is>
          <t>schneiderelectric:AdjustmentsForDepreciationOfIntangibleAssetsOtherThanGoodwill</t>
        </is>
      </c>
      <c r="G17" t="inlineStr">
        <is>
          <t>xBRL fact, exact</t>
        </is>
      </c>
    </row>
    <row r="18">
      <c r="A18" t="inlineStr">
        <is>
          <t>pension25</t>
        </is>
      </c>
      <c r="B18" t="inlineStr">
        <is>
          <t>Non-current employee benefit provisions</t>
        </is>
      </c>
      <c r="C18" s="3" t="n">
        <v>1048</v>
      </c>
      <c r="D18" t="inlineStr">
        <is>
          <t>EUR m</t>
        </is>
      </c>
      <c r="E18" t="inlineStr">
        <is>
          <t>FY2025 ESEF filing, filings.xbrl.org</t>
        </is>
      </c>
      <c r="F18" t="inlineStr">
        <is>
          <t>ifrs-full:NoncurrentProvisionsForEmployeeBenefits</t>
        </is>
      </c>
      <c r="G18" t="inlineStr">
        <is>
          <t>xBRL fact, exact</t>
        </is>
      </c>
    </row>
    <row r="19">
      <c r="A19" t="inlineStr">
        <is>
          <t>nci25</t>
        </is>
      </c>
      <c r="B19" t="inlineStr">
        <is>
          <t>Non-controlling interests (balance sheet)</t>
        </is>
      </c>
      <c r="C19" s="3" t="n">
        <v>256</v>
      </c>
      <c r="D19" t="inlineStr">
        <is>
          <t>EUR m</t>
        </is>
      </c>
      <c r="E19" t="inlineStr">
        <is>
          <t>FY2025 ESEF filing, filings.xbrl.org</t>
        </is>
      </c>
      <c r="F19" t="inlineStr">
        <is>
          <t>ifrs-full:NoncontrollingInterests</t>
        </is>
      </c>
      <c r="G19" t="inlineStr">
        <is>
          <t>xBRL fact, exact</t>
        </is>
      </c>
    </row>
    <row r="20">
      <c r="A20" t="inlineStr">
        <is>
          <t>cash25</t>
        </is>
      </c>
      <c r="B20" t="inlineStr">
        <is>
          <t>Cash and cash equivalents</t>
        </is>
      </c>
      <c r="C20" s="3" t="n">
        <v>4634</v>
      </c>
      <c r="D20" t="inlineStr">
        <is>
          <t>EUR m</t>
        </is>
      </c>
      <c r="E20" t="inlineStr">
        <is>
          <t>FY2025 ESEF filing, filings.xbrl.org</t>
        </is>
      </c>
      <c r="F20" t="inlineStr">
        <is>
          <t>ifrs-full:CashAndCashEquivalents</t>
        </is>
      </c>
      <c r="G20" t="inlineStr">
        <is>
          <t>xBRL fact, exact</t>
        </is>
      </c>
    </row>
    <row r="21">
      <c r="A21" t="inlineStr">
        <is>
          <t>deps25</t>
        </is>
      </c>
      <c r="B21" t="inlineStr">
        <is>
          <t>Diluted EPS (EUR)</t>
        </is>
      </c>
      <c r="C21" s="3" t="n">
        <v>7.33</v>
      </c>
      <c r="D21" t="inlineStr">
        <is>
          <t>EUR</t>
        </is>
      </c>
      <c r="E21" t="inlineStr">
        <is>
          <t>FY2025 ESEF filing, filings.xbrl.org</t>
        </is>
      </c>
      <c r="F21" t="inlineStr">
        <is>
          <t>ifrs-full:DilutedEarningsLossPerShare</t>
        </is>
      </c>
      <c r="G21" t="inlineStr">
        <is>
          <t>xBRL fact, exact</t>
        </is>
      </c>
    </row>
    <row r="22">
      <c r="A22" t="inlineStr">
        <is>
          <t>g26</t>
        </is>
      </c>
      <c r="B22" t="inlineStr">
        <is>
          <t>Revenue growth of +12% to +14% organic</t>
        </is>
      </c>
      <c r="C22" s="3" t="n">
        <v>13</v>
      </c>
      <c r="D22" t="inlineStr">
        <is>
          <t>%</t>
        </is>
      </c>
      <c r="E22" t="inlineStr">
        <is>
          <t>Schneider Electric Q3 2026 revenue release, 16 Oct 2026 (AMF)</t>
        </is>
      </c>
      <c r="F22" t="inlineStr">
        <is>
          <t>p.11 · “+12% to +14%” · midpoint</t>
        </is>
      </c>
      <c r="G22" t="inlineStr">
        <is>
          <t>Found on cited page</t>
        </is>
      </c>
    </row>
    <row r="23">
      <c r="A23" t="inlineStr">
        <is>
          <t>m26</t>
        </is>
      </c>
      <c r="B23" t="inlineStr">
        <is>
          <t>This implies Adjusted EBITA margin of around 19.7% to 19.9% (including scope based on tran</t>
        </is>
      </c>
      <c r="C23" s="3" t="n">
        <v>19.8</v>
      </c>
      <c r="D23" t="inlineStr">
        <is>
          <t>%</t>
        </is>
      </c>
      <c r="E23" t="inlineStr">
        <is>
          <t>Schneider Electric Q3 2026 revenue release, 16 Oct 2026 (AMF)</t>
        </is>
      </c>
      <c r="F23" t="inlineStr">
        <is>
          <t>p.11 · “19.7% to 19.9%” · midpoint</t>
        </is>
      </c>
      <c r="G23" t="inlineStr">
        <is>
          <t>Found on cited page</t>
        </is>
      </c>
    </row>
    <row r="24">
      <c r="A24" t="inlineStr">
        <is>
          <t>fx26</t>
        </is>
      </c>
      <c r="B24" t="inlineStr">
        <is>
          <t>Based on current rates3, the FX impact on FY 2026 revenues is estimated to be between -€30</t>
        </is>
      </c>
      <c r="C24" s="3" t="n">
        <v>-350</v>
      </c>
      <c r="D24" t="inlineStr">
        <is>
          <t>EUR m</t>
        </is>
      </c>
      <c r="E24" t="inlineStr">
        <is>
          <t>Schneider Electric Q3 2026 revenue release, 16 Oct 2026 (AMF)</t>
        </is>
      </c>
      <c r="F24" t="inlineStr">
        <is>
          <t>p.6 · “-€300 million to -€400million” · midpoint</t>
        </is>
      </c>
      <c r="G24" t="inlineStr">
        <is>
          <t>Found on cited page</t>
        </is>
      </c>
    </row>
    <row r="25">
      <c r="A25" t="inlineStr">
        <is>
          <t>scope26</t>
        </is>
      </c>
      <c r="B25" t="inlineStr">
        <is>
          <t>Based on transactions completed to-date, the Scope impact on FY 2026 revenues is estimated</t>
        </is>
      </c>
      <c r="C25" s="3" t="n">
        <v>-50</v>
      </c>
      <c r="D25" t="inlineStr">
        <is>
          <t>EUR m</t>
        </is>
      </c>
      <c r="E25" t="inlineStr">
        <is>
          <t>Schneider Electric Q3 2026 revenue release, 16 Oct 2026 (AMF)</t>
        </is>
      </c>
      <c r="F25" t="inlineStr">
        <is>
          <t>p.6 · “-€50 million”</t>
        </is>
      </c>
      <c r="G25" t="inlineStr">
        <is>
          <t>Found on cited page</t>
        </is>
      </c>
    </row>
    <row r="26">
      <c r="A26" t="inlineStr">
        <is>
          <t>bb26</t>
        </is>
      </c>
      <c r="B26" t="inlineStr">
        <is>
          <t>2026 share buyback programme</t>
        </is>
      </c>
      <c r="C26" s="3" t="n">
        <v>600</v>
      </c>
      <c r="D26" t="inlineStr">
        <is>
          <t>EUR m</t>
        </is>
      </c>
      <c r="E26" t="inlineStr">
        <is>
          <t>Schneider Electric Q3 2026 revenue release, 16 Oct 2026 (AMF)</t>
        </is>
      </c>
      <c r="F26" t="inlineStr">
        <is>
          <t>p.10</t>
        </is>
      </c>
      <c r="G26" t="inlineStr">
        <is>
          <t>Found on cited page</t>
        </is>
      </c>
    </row>
    <row r="28">
      <c r="A28" t="inlineStr">
        <is>
          <t>price</t>
        </is>
      </c>
      <c r="B28" t="inlineStr">
        <is>
          <t>Share price, EUR</t>
        </is>
      </c>
      <c r="C28" s="4" t="n">
        <v>239.1</v>
      </c>
      <c r="E28" t="inlineStr">
        <is>
          <t>Lang &amp; Schwarz quote, 31 Oct 2026, 10:00 CET (via ad-hoc-news.de)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10" customWidth="1" min="3" max="3"/>
  </cols>
  <sheetData>
    <row r="1">
      <c r="A1" s="1" t="inlineStr">
        <is>
          <t>Analyst assumptions. Blue = input. Each row states its basis.</t>
        </is>
      </c>
    </row>
    <row r="3">
      <c r="A3" s="2" t="inlineStr">
        <is>
          <t>Input</t>
        </is>
      </c>
      <c r="B3" s="2" t="inlineStr">
        <is>
          <t>Value</t>
        </is>
      </c>
      <c r="C3" s="2" t="inlineStr">
        <is>
          <t>Basis</t>
        </is>
      </c>
    </row>
    <row r="4">
      <c r="A4" t="inlineStr">
        <is>
          <t>tax</t>
        </is>
      </c>
      <c r="B4" s="5" t="n">
        <v>0.24</v>
      </c>
      <c r="C4" t="inlineStr">
        <is>
          <t>FY release p.16: ETR expected 23–25% in 2026.</t>
        </is>
      </c>
    </row>
    <row r="5">
      <c r="A5" t="inlineStr">
        <is>
          <t>da</t>
        </is>
      </c>
      <c r="B5" s="5" t="n">
        <v>0.03</v>
      </c>
      <c r="C5" t="inlineStr">
        <is>
          <t>2025 PP&amp;E depreciation 871 + intangible amortisation 781 − purchase-accounting 457 = 1,195 = 3.0% of revenue.</t>
        </is>
      </c>
    </row>
    <row r="6">
      <c r="A6" t="inlineStr">
        <is>
          <t>capex</t>
        </is>
      </c>
      <c r="B6" s="5" t="n">
        <v>0.038</v>
      </c>
      <c r="C6" t="inlineStr">
        <is>
          <t>2025 net capex 1,496 = 3.7% of revenue. Kept slightly higher for data-centre capacity.</t>
        </is>
      </c>
    </row>
    <row r="7">
      <c r="A7" t="inlineStr">
        <is>
          <t>nwc</t>
        </is>
      </c>
      <c r="B7" s="5" t="n">
        <v>0.15</v>
      </c>
      <c r="C7" t="inlineStr">
        <is>
          <t>2025: 617 on 1,999 revenue growth (31%), inflated by supply-chain build. Normalised to 15%.</t>
        </is>
      </c>
    </row>
    <row r="8">
      <c r="A8" t="inlineStr">
        <is>
          <t>tg</t>
        </is>
      </c>
      <c r="B8" s="5" t="n">
        <v>0.03</v>
      </c>
      <c r="C8" t="inlineStr">
        <is>
          <t>Nominal long-run growth for electrification and data-centre exposure.</t>
        </is>
      </c>
    </row>
    <row r="9">
      <c r="A9" t="inlineStr">
        <is>
          <t>rf</t>
        </is>
      </c>
      <c r="B9" s="5" t="n">
        <v>0.029</v>
      </c>
      <c r="C9" t="inlineStr">
        <is>
          <t>10-year Bund, approximate, Oct 2026. Analyst input.</t>
        </is>
      </c>
    </row>
    <row r="10">
      <c r="A10" t="inlineStr">
        <is>
          <t>erp</t>
        </is>
      </c>
      <c r="B10" s="5" t="n">
        <v>0.055</v>
      </c>
      <c r="C10" t="inlineStr">
        <is>
          <t>Analyst input.</t>
        </is>
      </c>
    </row>
    <row r="11">
      <c r="A11" t="inlineStr">
        <is>
          <t>beta</t>
        </is>
      </c>
      <c r="B11" s="6" t="n">
        <v>1.1</v>
      </c>
      <c r="C11" t="inlineStr">
        <is>
          <t>Analyst input, capital goods.</t>
        </is>
      </c>
    </row>
    <row r="12">
      <c r="A12" t="inlineStr">
        <is>
          <t>kd</t>
        </is>
      </c>
      <c r="B12" s="5" t="n">
        <v>0.036</v>
      </c>
      <c r="C12" t="inlineStr">
        <is>
          <t>Pre-tax cost of debt, A/A2 rated (Q3 release). Analyst input.</t>
        </is>
      </c>
    </row>
    <row r="13">
      <c r="A13" t="inlineStr">
        <is>
          <t>dv</t>
        </is>
      </c>
      <c r="B13" s="5" t="n">
        <v>0.1</v>
      </c>
      <c r="C13" t="inlineStr">
        <is>
          <t>Target debt / (debt + equity). Analyst input.</t>
        </is>
      </c>
    </row>
    <row r="14">
      <c r="A14" t="inlineStr">
        <is>
          <t>div26</t>
        </is>
      </c>
      <c r="B14" s="6" t="n">
        <v>4.2</v>
      </c>
      <c r="C14" t="inlineStr">
        <is>
          <t>FY2025 dividend €4.20 paid May 2026.</t>
        </is>
      </c>
    </row>
    <row r="15">
      <c r="A15" t="inlineStr">
        <is>
          <t>div_growth</t>
        </is>
      </c>
      <c r="B15" s="5" t="n">
        <v>0.1</v>
      </c>
      <c r="C15" t="inlineStr">
        <is>
          <t>Analyst input.</t>
        </is>
      </c>
    </row>
    <row r="16">
      <c r="A16" t="inlineStr">
        <is>
          <t>int_extra</t>
        </is>
      </c>
      <c r="B16" s="6" t="n">
        <v>150</v>
      </c>
      <c r="C16" t="inlineStr">
        <is>
          <t>FY release p.16: c.€150m incremental finance cost in 2026 for the SEIPL buyout.</t>
        </is>
      </c>
    </row>
    <row r="18">
      <c r="A18" t="inlineStr">
        <is>
          <t>Cost of equity</t>
        </is>
      </c>
      <c r="B18" s="7">
        <f>Assumptions!$B$9+Assumptions!$B$11*Assumptions!$B$10</f>
        <v/>
      </c>
    </row>
    <row r="19">
      <c r="A19" t="inlineStr">
        <is>
          <t>WACC</t>
        </is>
      </c>
      <c r="B19" s="8">
        <f>(1-Assumptions!$B$13)*Assumptions!$B$18+Assumptions!$B$13*Assumptions!$B$12*(1-Assumptions!$B$4)</f>
        <v/>
      </c>
    </row>
    <row r="21">
      <c r="A21" t="inlineStr">
        <is>
          <t>Revenue growth, margin and restructuring by year are on the Forecast sheet (rows 5, 9, 16).</t>
        </is>
      </c>
    </row>
    <row r="22">
      <c r="A22" t="inlineStr">
        <is>
          <t>Growth basis: 2026: midpoint of +12–14% organic (Q3 release). 2027–30 inside CMD 2025 range of +7–10% CAGR; 2031–32 fade.</t>
        </is>
      </c>
    </row>
    <row r="23">
      <c r="A23" t="inlineStr">
        <is>
          <t>Margin basis: 2026: midpoint of implied 19.7–19.9%. Then +140bps to 2030 to complete CMD +250bps organic 2026–30.</t>
        </is>
      </c>
    </row>
    <row r="24">
      <c r="A24" t="inlineStr">
        <is>
          <t>Restructuring basis: FY release p.16: €500m incremental 2025–27 above a normal €100–150m a year. Cash cost, taxed.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A1" s="1" t="inlineStr">
        <is>
          <t>Forecast, EUR m. Standalone Schneider Electric (PTC excluded).</t>
        </is>
      </c>
    </row>
    <row r="3">
      <c r="A3" s="9" t="n"/>
      <c r="B3" s="2" t="inlineStr">
        <is>
          <t>2025A</t>
        </is>
      </c>
      <c r="C3" s="2" t="inlineStr">
        <is>
          <t>2026E</t>
        </is>
      </c>
      <c r="D3" s="2" t="inlineStr">
        <is>
          <t>2027E</t>
        </is>
      </c>
      <c r="E3" s="2" t="inlineStr">
        <is>
          <t>2028E</t>
        </is>
      </c>
      <c r="F3" s="2" t="inlineStr">
        <is>
          <t>2029E</t>
        </is>
      </c>
      <c r="G3" s="2" t="inlineStr">
        <is>
          <t>2030E</t>
        </is>
      </c>
      <c r="H3" s="2" t="inlineStr">
        <is>
          <t>2031E</t>
        </is>
      </c>
      <c r="I3" s="2" t="inlineStr">
        <is>
          <t>2032E</t>
        </is>
      </c>
    </row>
    <row r="5">
      <c r="A5" t="inlineStr">
        <is>
          <t>Organic growth</t>
        </is>
      </c>
      <c r="B5" s="10" t="n"/>
      <c r="C5" s="11">
        <f>Sources!$C$22/100</f>
        <v/>
      </c>
      <c r="D5" s="5" t="n">
        <v>0.1</v>
      </c>
      <c r="E5" s="5" t="n">
        <v>0.09</v>
      </c>
      <c r="F5" s="5" t="n">
        <v>0.08</v>
      </c>
      <c r="G5" s="5" t="n">
        <v>0.08</v>
      </c>
      <c r="H5" s="5" t="n">
        <v>0.06</v>
      </c>
      <c r="I5" s="5" t="n">
        <v>0.05</v>
      </c>
    </row>
    <row r="6">
      <c r="A6" t="inlineStr">
        <is>
          <t>FX and scope (2026)</t>
        </is>
      </c>
      <c r="B6" s="12" t="n"/>
      <c r="C6" s="13">
        <f>Sources!$C$24+Sources!$C$25</f>
        <v/>
      </c>
      <c r="D6" s="14" t="n">
        <v>0</v>
      </c>
      <c r="E6" s="14" t="n">
        <v>0</v>
      </c>
      <c r="F6" s="14" t="n">
        <v>0</v>
      </c>
      <c r="G6" s="14" t="n">
        <v>0</v>
      </c>
      <c r="H6" s="14" t="n">
        <v>0</v>
      </c>
      <c r="I6" s="14" t="n">
        <v>0</v>
      </c>
    </row>
    <row r="7">
      <c r="A7" t="inlineStr">
        <is>
          <t>Revenue</t>
        </is>
      </c>
      <c r="B7" s="13">
        <f>Sources!$C$4</f>
        <v/>
      </c>
      <c r="C7" s="12">
        <f>B7*(1+C5)+C6</f>
        <v/>
      </c>
      <c r="D7" s="12">
        <f>C7*(1+D5)+D6</f>
        <v/>
      </c>
      <c r="E7" s="12">
        <f>D7*(1+E5)+E6</f>
        <v/>
      </c>
      <c r="F7" s="12">
        <f>E7*(1+F5)+F6</f>
        <v/>
      </c>
      <c r="G7" s="12">
        <f>F7*(1+G5)+G6</f>
        <v/>
      </c>
      <c r="H7" s="12">
        <f>G7*(1+H5)+H6</f>
        <v/>
      </c>
      <c r="I7" s="12">
        <f>H7*(1+I5)+I6</f>
        <v/>
      </c>
    </row>
    <row r="8">
      <c r="A8" t="inlineStr">
        <is>
          <t>Reported growth</t>
        </is>
      </c>
      <c r="B8" s="10">
        <f>Sources!$C$4/Sources!$C$13-1</f>
        <v/>
      </c>
      <c r="C8" s="10">
        <f>C7/B7-1</f>
        <v/>
      </c>
      <c r="D8" s="10">
        <f>D7/C7-1</f>
        <v/>
      </c>
      <c r="E8" s="10">
        <f>E7/D7-1</f>
        <v/>
      </c>
      <c r="F8" s="10">
        <f>F7/E7-1</f>
        <v/>
      </c>
      <c r="G8" s="10">
        <f>G7/F7-1</f>
        <v/>
      </c>
      <c r="H8" s="10">
        <f>H7/G7-1</f>
        <v/>
      </c>
      <c r="I8" s="10">
        <f>I7/H7-1</f>
        <v/>
      </c>
    </row>
    <row r="9">
      <c r="A9" t="inlineStr">
        <is>
          <t>Adj. EBITA margin</t>
        </is>
      </c>
      <c r="B9" s="10">
        <f>B10/B7</f>
        <v/>
      </c>
      <c r="C9" s="11">
        <f>Sources!$C$23/100</f>
        <v/>
      </c>
      <c r="D9" s="5" t="n">
        <v>0.202</v>
      </c>
      <c r="E9" s="5" t="n">
        <v>0.206</v>
      </c>
      <c r="F9" s="5" t="n">
        <v>0.209</v>
      </c>
      <c r="G9" s="5" t="n">
        <v>0.212</v>
      </c>
      <c r="H9" s="5" t="n">
        <v>0.212</v>
      </c>
      <c r="I9" s="5" t="n">
        <v>0.212</v>
      </c>
    </row>
    <row r="10">
      <c r="A10" t="inlineStr">
        <is>
          <t>Adj. EBITA</t>
        </is>
      </c>
      <c r="B10" s="13">
        <f>Sources!$C$5</f>
        <v/>
      </c>
      <c r="C10" s="12">
        <f>C7*C9</f>
        <v/>
      </c>
      <c r="D10" s="12">
        <f>D7*D9</f>
        <v/>
      </c>
      <c r="E10" s="12">
        <f>E7*E9</f>
        <v/>
      </c>
      <c r="F10" s="12">
        <f>F7*F9</f>
        <v/>
      </c>
      <c r="G10" s="12">
        <f>G7*G9</f>
        <v/>
      </c>
      <c r="H10" s="12">
        <f>H7*H9</f>
        <v/>
      </c>
      <c r="I10" s="12">
        <f>I7*I9</f>
        <v/>
      </c>
    </row>
    <row r="11">
      <c r="A11" t="inlineStr">
        <is>
          <t>Tax on EBITA</t>
        </is>
      </c>
      <c r="B11" s="12" t="n"/>
      <c r="C11" s="12">
        <f>-C10*Assumptions!$B$4</f>
        <v/>
      </c>
      <c r="D11" s="12">
        <f>-D10*Assumptions!$B$4</f>
        <v/>
      </c>
      <c r="E11" s="12">
        <f>-E10*Assumptions!$B$4</f>
        <v/>
      </c>
      <c r="F11" s="12">
        <f>-F10*Assumptions!$B$4</f>
        <v/>
      </c>
      <c r="G11" s="12">
        <f>-G10*Assumptions!$B$4</f>
        <v/>
      </c>
      <c r="H11" s="12">
        <f>-H10*Assumptions!$B$4</f>
        <v/>
      </c>
      <c r="I11" s="12">
        <f>-I10*Assumptions!$B$4</f>
        <v/>
      </c>
    </row>
    <row r="12">
      <c r="A12" t="inlineStr">
        <is>
          <t>NOPAT</t>
        </is>
      </c>
      <c r="B12" s="12" t="n"/>
      <c r="C12" s="12">
        <f>C10+C11</f>
        <v/>
      </c>
      <c r="D12" s="12">
        <f>D10+D11</f>
        <v/>
      </c>
      <c r="E12" s="12">
        <f>E10+E11</f>
        <v/>
      </c>
      <c r="F12" s="12">
        <f>F10+F11</f>
        <v/>
      </c>
      <c r="G12" s="12">
        <f>G10+G11</f>
        <v/>
      </c>
      <c r="H12" s="12">
        <f>H10+H11</f>
        <v/>
      </c>
      <c r="I12" s="12">
        <f>I10+I11</f>
        <v/>
      </c>
    </row>
    <row r="13">
      <c r="A13" t="inlineStr">
        <is>
          <t>D&amp;A excl. purchase accounting</t>
        </is>
      </c>
      <c r="B13" s="12" t="n"/>
      <c r="C13" s="12">
        <f>C7*Assumptions!$B$5</f>
        <v/>
      </c>
      <c r="D13" s="12">
        <f>D7*Assumptions!$B$5</f>
        <v/>
      </c>
      <c r="E13" s="12">
        <f>E7*Assumptions!$B$5</f>
        <v/>
      </c>
      <c r="F13" s="12">
        <f>F7*Assumptions!$B$5</f>
        <v/>
      </c>
      <c r="G13" s="12">
        <f>G7*Assumptions!$B$5</f>
        <v/>
      </c>
      <c r="H13" s="12">
        <f>H7*Assumptions!$B$5</f>
        <v/>
      </c>
      <c r="I13" s="12">
        <f>I7*Assumptions!$B$5</f>
        <v/>
      </c>
    </row>
    <row r="14">
      <c r="A14" t="inlineStr">
        <is>
          <t>Capex, net</t>
        </is>
      </c>
      <c r="B14" s="12" t="n"/>
      <c r="C14" s="12">
        <f>-C7*Assumptions!$B$6</f>
        <v/>
      </c>
      <c r="D14" s="12">
        <f>-D7*Assumptions!$B$6</f>
        <v/>
      </c>
      <c r="E14" s="12">
        <f>-E7*Assumptions!$B$6</f>
        <v/>
      </c>
      <c r="F14" s="12">
        <f>-F7*Assumptions!$B$6</f>
        <v/>
      </c>
      <c r="G14" s="12">
        <f>-G7*Assumptions!$B$6</f>
        <v/>
      </c>
      <c r="H14" s="12">
        <f>-H7*Assumptions!$B$6</f>
        <v/>
      </c>
      <c r="I14" s="12">
        <f>-I7*Assumptions!$B$6</f>
        <v/>
      </c>
    </row>
    <row r="15">
      <c r="A15" t="inlineStr">
        <is>
          <t>Change in working capital</t>
        </is>
      </c>
      <c r="B15" s="12" t="n"/>
      <c r="C15" s="12">
        <f>-(C7-B7)*Assumptions!$B$7</f>
        <v/>
      </c>
      <c r="D15" s="12">
        <f>-(D7-C7)*Assumptions!$B$7</f>
        <v/>
      </c>
      <c r="E15" s="12">
        <f>-(E7-D7)*Assumptions!$B$7</f>
        <v/>
      </c>
      <c r="F15" s="12">
        <f>-(F7-E7)*Assumptions!$B$7</f>
        <v/>
      </c>
      <c r="G15" s="12">
        <f>-(G7-F7)*Assumptions!$B$7</f>
        <v/>
      </c>
      <c r="H15" s="12">
        <f>-(H7-G7)*Assumptions!$B$7</f>
        <v/>
      </c>
      <c r="I15" s="12">
        <f>-(I7-H7)*Assumptions!$B$7</f>
        <v/>
      </c>
    </row>
    <row r="16">
      <c r="A16" t="inlineStr">
        <is>
          <t>Restructuring cash, pre-tax</t>
        </is>
      </c>
      <c r="B16" s="12" t="n"/>
      <c r="C16" s="14" t="n">
        <v>300</v>
      </c>
      <c r="D16" s="14" t="n">
        <v>250</v>
      </c>
      <c r="E16" s="14" t="n">
        <v>150</v>
      </c>
      <c r="F16" s="14" t="n">
        <v>150</v>
      </c>
      <c r="G16" s="14" t="n">
        <v>150</v>
      </c>
      <c r="H16" s="14" t="n">
        <v>150</v>
      </c>
      <c r="I16" s="14" t="n">
        <v>150</v>
      </c>
    </row>
    <row r="17">
      <c r="A17" t="inlineStr">
        <is>
          <t>Restructuring after tax</t>
        </is>
      </c>
      <c r="B17" s="12" t="n"/>
      <c r="C17" s="12">
        <f>-C16*(1-Assumptions!$B$4)</f>
        <v/>
      </c>
      <c r="D17" s="12">
        <f>-D16*(1-Assumptions!$B$4)</f>
        <v/>
      </c>
      <c r="E17" s="12">
        <f>-E16*(1-Assumptions!$B$4)</f>
        <v/>
      </c>
      <c r="F17" s="12">
        <f>-F16*(1-Assumptions!$B$4)</f>
        <v/>
      </c>
      <c r="G17" s="12">
        <f>-G16*(1-Assumptions!$B$4)</f>
        <v/>
      </c>
      <c r="H17" s="12">
        <f>-H16*(1-Assumptions!$B$4)</f>
        <v/>
      </c>
      <c r="I17" s="12">
        <f>-I16*(1-Assumptions!$B$4)</f>
        <v/>
      </c>
    </row>
    <row r="18">
      <c r="A18" t="inlineStr">
        <is>
          <t>Unlevered free cash flow</t>
        </is>
      </c>
      <c r="B18" s="12" t="n"/>
      <c r="C18" s="15">
        <f>C12+C13+C14+C15+C17</f>
        <v/>
      </c>
      <c r="D18" s="15">
        <f>D12+D13+D14+D15+D17</f>
        <v/>
      </c>
      <c r="E18" s="15">
        <f>E12+E13+E14+E15+E17</f>
        <v/>
      </c>
      <c r="F18" s="15">
        <f>F12+F13+F14+F15+F17</f>
        <v/>
      </c>
      <c r="G18" s="15">
        <f>G12+G13+G14+G15+G17</f>
        <v/>
      </c>
      <c r="H18" s="15">
        <f>H12+H13+H14+H15+H17</f>
        <v/>
      </c>
      <c r="I18" s="15">
        <f>I12+I13+I14+I15+I17</f>
        <v/>
      </c>
    </row>
    <row r="19">
      <c r="A19" t="inlineStr">
        <is>
          <t>Discount period (mid-year)</t>
        </is>
      </c>
      <c r="B19" s="16" t="n"/>
      <c r="C19" s="16" t="n">
        <v>0.5</v>
      </c>
      <c r="D19" s="16" t="n">
        <v>1.5</v>
      </c>
      <c r="E19" s="16" t="n">
        <v>2.5</v>
      </c>
      <c r="F19" s="16" t="n">
        <v>3.5</v>
      </c>
      <c r="G19" s="16" t="n">
        <v>4.5</v>
      </c>
      <c r="H19" s="16" t="n">
        <v>5.5</v>
      </c>
      <c r="I19" s="16" t="n">
        <v>6.5</v>
      </c>
    </row>
    <row r="20">
      <c r="A20" t="inlineStr">
        <is>
          <t>Discount factor</t>
        </is>
      </c>
      <c r="B20" s="17" t="n"/>
      <c r="C20" s="17">
        <f>1/(1+Assumptions!$B$19)^C19</f>
        <v/>
      </c>
      <c r="D20" s="17">
        <f>1/(1+Assumptions!$B$19)^D19</f>
        <v/>
      </c>
      <c r="E20" s="17">
        <f>1/(1+Assumptions!$B$19)^E19</f>
        <v/>
      </c>
      <c r="F20" s="17">
        <f>1/(1+Assumptions!$B$19)^F19</f>
        <v/>
      </c>
      <c r="G20" s="17">
        <f>1/(1+Assumptions!$B$19)^G19</f>
        <v/>
      </c>
      <c r="H20" s="17">
        <f>1/(1+Assumptions!$B$19)^H19</f>
        <v/>
      </c>
      <c r="I20" s="17">
        <f>1/(1+Assumptions!$B$19)^I19</f>
        <v/>
      </c>
    </row>
    <row r="21">
      <c r="A21" t="inlineStr">
        <is>
          <t>Present value</t>
        </is>
      </c>
      <c r="B21" s="12" t="n"/>
      <c r="C21" s="12">
        <f>C18*C20</f>
        <v/>
      </c>
      <c r="D21" s="12">
        <f>D18*D20</f>
        <v/>
      </c>
      <c r="E21" s="12">
        <f>E18*E20</f>
        <v/>
      </c>
      <c r="F21" s="12">
        <f>F18*F20</f>
        <v/>
      </c>
      <c r="G21" s="12">
        <f>G18*G20</f>
        <v/>
      </c>
      <c r="H21" s="12">
        <f>H18*H20</f>
        <v/>
      </c>
      <c r="I21" s="12">
        <f>I18*I20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70" customWidth="1" min="3" max="3"/>
  </cols>
  <sheetData>
    <row r="1">
      <c r="A1" s="1" t="inlineStr">
        <is>
          <t>Discounted cash flow, standalone. Valued at 1 Jan 2026, rolled to 31 Oct 2026 and 31 Oct 2027.</t>
        </is>
      </c>
    </row>
    <row r="4">
      <c r="A4" t="inlineStr">
        <is>
          <t>PV of free cash flow 2026–2032</t>
        </is>
      </c>
      <c r="B4" s="12">
        <f>SUM(Forecast!C21:I21)</f>
        <v/>
      </c>
      <c r="C4" t="inlineStr"/>
    </row>
    <row r="5">
      <c r="A5" t="inlineStr">
        <is>
          <t>Terminal value at end-2032</t>
        </is>
      </c>
      <c r="B5" s="12">
        <f>Forecast!I18*(1+Assumptions!$B$8)/(Assumptions!$B$19-Assumptions!$B$8)</f>
        <v/>
      </c>
      <c r="C5" t="inlineStr">
        <is>
          <t>Gordon growth</t>
        </is>
      </c>
    </row>
    <row r="6">
      <c r="A6" t="inlineStr">
        <is>
          <t>PV of terminal value</t>
        </is>
      </c>
      <c r="B6" s="12">
        <f>B5/(1+Assumptions!$B$19)^7</f>
        <v/>
      </c>
      <c r="C6" t="inlineStr"/>
    </row>
    <row r="7">
      <c r="A7" t="inlineStr">
        <is>
          <t>Enterprise value</t>
        </is>
      </c>
      <c r="B7" s="18">
        <f>B4+B6</f>
        <v/>
      </c>
      <c r="C7" t="inlineStr"/>
    </row>
    <row r="8">
      <c r="A8" t="inlineStr">
        <is>
          <t>Less net financial debt 31 Dec 2025</t>
        </is>
      </c>
      <c r="B8" s="12">
        <f>-Sources!$C$9</f>
        <v/>
      </c>
      <c r="C8" t="inlineStr">
        <is>
          <t>Reported net debt, includes SEIPL buyout</t>
        </is>
      </c>
    </row>
    <row r="9">
      <c r="A9" t="inlineStr">
        <is>
          <t>Less employee benefit provisions</t>
        </is>
      </c>
      <c r="B9" s="12">
        <f>-Sources!$C$18</f>
        <v/>
      </c>
      <c r="C9" t="inlineStr">
        <is>
          <t>Debt-like, pre-tax</t>
        </is>
      </c>
    </row>
    <row r="10">
      <c r="A10" t="inlineStr">
        <is>
          <t>Less non-controlling interests (book)</t>
        </is>
      </c>
      <c r="B10" s="12">
        <f>-Sources!$C$19</f>
        <v/>
      </c>
      <c r="C10" t="inlineStr">
        <is>
          <t>Book value after SEIPL buyout</t>
        </is>
      </c>
    </row>
    <row r="11">
      <c r="A11" t="inlineStr">
        <is>
          <t>Equity value</t>
        </is>
      </c>
      <c r="B11" s="12">
        <f>SUM(B7:B10)</f>
        <v/>
      </c>
      <c r="C11" t="inlineStr"/>
    </row>
    <row r="12">
      <c r="A12" t="inlineStr">
        <is>
          <t>Diluted shares, m</t>
        </is>
      </c>
      <c r="B12" s="19">
        <f>Sources!$C$8/Sources!$C$21-Sources!$C$26/270</f>
        <v/>
      </c>
      <c r="C12" t="inlineStr">
        <is>
          <t>Net income / diluted EPS, less 2026 buyback at ~€270</t>
        </is>
      </c>
    </row>
    <row r="13">
      <c r="A13" t="inlineStr">
        <is>
          <t>Value per share at 1 Jan 2026</t>
        </is>
      </c>
      <c r="B13" s="20">
        <f>B11/B12</f>
        <v/>
      </c>
      <c r="C13" t="inlineStr"/>
    </row>
    <row r="14">
      <c r="A14" t="inlineStr">
        <is>
          <t>Value per share at 31 Oct 2026</t>
        </is>
      </c>
      <c r="B14" s="21">
        <f>B13*(1+Assumptions!$B$18)^(10/12)-Assumptions!$B$14</f>
        <v/>
      </c>
      <c r="C14" t="inlineStr">
        <is>
          <t>Rolled at cost of equity, less May 2026 dividend</t>
        </is>
      </c>
    </row>
    <row r="15">
      <c r="A15" t="inlineStr">
        <is>
          <t>Dividend expected 2027</t>
        </is>
      </c>
      <c r="B15" s="20">
        <f>Assumptions!$B$14*(1+Assumptions!$B$15)</f>
        <v/>
      </c>
      <c r="C15" t="inlineStr"/>
    </row>
    <row r="16">
      <c r="A16" t="inlineStr">
        <is>
          <t>12-month target, 31 Oct 2027</t>
        </is>
      </c>
      <c r="B16" s="21">
        <f>B14*(1+Assumptions!$B$18)-B15</f>
        <v/>
      </c>
      <c r="C16" t="inlineStr">
        <is>
          <t>Comparable with broker 12-month targets</t>
        </is>
      </c>
    </row>
    <row r="17">
      <c r="A17" t="inlineStr">
        <is>
          <t>Upside to 12-month target</t>
        </is>
      </c>
      <c r="B17" s="10">
        <f>B16/Sources!$C$28-1</f>
        <v/>
      </c>
      <c r="C17" t="inlineStr"/>
    </row>
    <row r="18">
      <c r="A18" t="inlineStr">
        <is>
          <t>Terminal value share of EV</t>
        </is>
      </c>
      <c r="B18" s="10">
        <f>B6/B7</f>
        <v/>
      </c>
      <c r="C1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70" customWidth="1" min="3" max="3"/>
  </cols>
  <sheetData>
    <row r="1">
      <c r="A1" s="1" t="inlineStr">
        <is>
          <t>EV / Adj. EBITA cross-check on FY2027E, the basis JPMorgan discloses.</t>
        </is>
      </c>
    </row>
    <row r="4">
      <c r="A4" t="inlineStr">
        <is>
          <t>Adj. EBITA 2027E</t>
        </is>
      </c>
      <c r="B4" s="12">
        <f>Forecast!D10</f>
        <v/>
      </c>
      <c r="C4" t="inlineStr"/>
    </row>
    <row r="5">
      <c r="A5" t="inlineStr">
        <is>
          <t>After-tax interest per year</t>
        </is>
      </c>
      <c r="B5" s="12">
        <f>(-Sources!$C$7+Assumptions!$B$16)*(1-Assumptions!$B$4)</f>
        <v/>
      </c>
      <c r="C5" t="inlineStr">
        <is>
          <t>FY25 net finance cost plus SEIPL financing</t>
        </is>
      </c>
    </row>
    <row r="6">
      <c r="A6" t="inlineStr">
        <is>
          <t>Net debt end-2026E</t>
        </is>
      </c>
      <c r="B6" s="12">
        <f>Sources!$C$9-(Forecast!C18-B5)+Assumptions!$B$14*DCF!B12+Sources!$C$26</f>
        <v/>
      </c>
      <c r="C6" t="inlineStr">
        <is>
          <t>Standalone, after dividend and buyback</t>
        </is>
      </c>
    </row>
    <row r="7">
      <c r="A7" t="inlineStr">
        <is>
          <t>Net debt end-2027E</t>
        </is>
      </c>
      <c r="B7" s="12">
        <f>B6-(Forecast!D18-B5)+DCF!B15*DCF!B12</f>
        <v/>
      </c>
      <c r="C7" t="inlineStr">
        <is>
          <t>No buyback in 2027, PTC excluded</t>
        </is>
      </c>
    </row>
    <row r="8">
      <c r="A8" t="inlineStr">
        <is>
          <t>Other debt-like items</t>
        </is>
      </c>
      <c r="B8" s="12">
        <f>Sources!$C$18+Sources!$C$19</f>
        <v/>
      </c>
      <c r="C8" t="inlineStr"/>
    </row>
    <row r="10">
      <c r="A10" t="inlineStr">
        <is>
          <t>Multiple</t>
        </is>
      </c>
      <c r="B10" t="inlineStr">
        <is>
          <t>Value / share</t>
        </is>
      </c>
      <c r="C10" t="inlineStr">
        <is>
          <t>Basis</t>
        </is>
      </c>
    </row>
    <row r="11">
      <c r="A11" s="4" t="n">
        <v>17</v>
      </c>
      <c r="B11" s="20">
        <f>(A11*$B$4-$B$7-$B$8)/DCF!$B$12</f>
        <v/>
      </c>
      <c r="C11" t="inlineStr">
        <is>
          <t>Low end</t>
        </is>
      </c>
    </row>
    <row r="12">
      <c r="A12" s="4" t="n">
        <v>18.5</v>
      </c>
      <c r="B12" s="20">
        <f>(A12*$B$4-$B$7-$B$8)/DCF!$B$12</f>
        <v/>
      </c>
      <c r="C12" t="inlineStr">
        <is>
          <t>JPMorgan, Oct 2026</t>
        </is>
      </c>
    </row>
    <row r="13">
      <c r="A13" s="4" t="n">
        <v>20.5</v>
      </c>
      <c r="B13" s="20">
        <f>(A13*$B$4-$B$7-$B$8)/DCF!$B$12</f>
        <v/>
      </c>
      <c r="C13" t="inlineStr">
        <is>
          <t>JPMorgan before PTC</t>
        </is>
      </c>
    </row>
    <row r="15">
      <c r="A15" t="inlineStr">
        <is>
          <t>Implied EV / EBITA FY27 at our DCF target</t>
        </is>
      </c>
      <c r="B15" s="22">
        <f>(DCF!B16*DCF!B12+B7+B8)/B4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26" customWidth="1" min="3" max="3"/>
    <col width="12" customWidth="1" min="4" max="4"/>
    <col width="34" customWidth="1" min="5" max="5"/>
    <col width="80" customWidth="1" min="6" max="6"/>
  </cols>
  <sheetData>
    <row r="1">
      <c r="A1" s="1" t="inlineStr">
        <is>
          <t>Broker 12-month targets after the PTC announcement. Secondary reports citing MarketScreener.</t>
        </is>
      </c>
    </row>
    <row r="3">
      <c r="A3" s="2" t="inlineStr">
        <is>
          <t>Broker</t>
        </is>
      </c>
      <c r="B3" s="2" t="inlineStr">
        <is>
          <t>Target, EUR</t>
        </is>
      </c>
      <c r="C3" s="2" t="inlineStr">
        <is>
          <t>Rating</t>
        </is>
      </c>
      <c r="D3" s="2" t="inlineStr">
        <is>
          <t>Date</t>
        </is>
      </c>
      <c r="E3" s="2" t="inlineStr">
        <is>
          <t>Method disclosed</t>
        </is>
      </c>
      <c r="F3" s="2" t="inlineStr">
        <is>
          <t>Source</t>
        </is>
      </c>
    </row>
    <row r="4">
      <c r="A4" t="inlineStr">
        <is>
          <t>JPMorgan</t>
        </is>
      </c>
      <c r="B4" s="4" t="n">
        <v>310</v>
      </c>
      <c r="C4" t="inlineStr">
        <is>
          <t>Neutral (from Overweight)</t>
        </is>
      </c>
      <c r="D4" t="inlineStr">
        <is>
          <t>2026-10-07</t>
        </is>
      </c>
      <c r="E4" t="inlineStr">
        <is>
          <t>18.5x FY27 EV/EBITA (from 20.5x)</t>
        </is>
      </c>
      <c r="F4" t="inlineStr">
        <is>
          <t>https://www.ad-hoc-news.de/boerse/news/corporate-news/jpmorgan-cuts-target-for-schneider-electric-stock-from-eur-345-to-eur-310/70321958</t>
        </is>
      </c>
    </row>
    <row r="5">
      <c r="A5" t="inlineStr">
        <is>
          <t>RBC Capital Markets</t>
        </is>
      </c>
      <c r="B5" s="4" t="n">
        <v>320</v>
      </c>
      <c r="C5" t="inlineStr">
        <is>
          <t>Outperform</t>
        </is>
      </c>
      <c r="D5" t="inlineStr">
        <is>
          <t>2026-10-09</t>
        </is>
      </c>
      <c r="E5" t="inlineStr"/>
      <c r="F5" t="inlineStr">
        <is>
          <t>https://www.ad-hoc-news.de/boerse/news/corporate-news/rbc-keeps-eur-320-00-target-for-schneider-electric-stock/70315468</t>
        </is>
      </c>
    </row>
    <row r="6">
      <c r="A6" t="inlineStr">
        <is>
          <t>Barclays</t>
        </is>
      </c>
      <c r="B6" s="4" t="n">
        <v>326</v>
      </c>
      <c r="C6" t="inlineStr">
        <is>
          <t>Overweight</t>
        </is>
      </c>
      <c r="D6" t="inlineStr">
        <is>
          <t>2026-10-19</t>
        </is>
      </c>
      <c r="E6" t="inlineStr"/>
      <c r="F6" t="inlineStr">
        <is>
          <t>https://www.ad-hoc-news.de/boerse/news/corporate-news/schneider-electric-stock-barclays-cuts-target-for-schneider-electric-stock-to-eur-326-00/70384452</t>
        </is>
      </c>
    </row>
    <row r="7">
      <c r="A7" t="inlineStr">
        <is>
          <t>Jefferies</t>
        </is>
      </c>
      <c r="B7" s="4" t="n">
        <v>329</v>
      </c>
      <c r="C7" t="inlineStr">
        <is>
          <t>Buy</t>
        </is>
      </c>
      <c r="D7" t="inlineStr">
        <is>
          <t>2026-10-26</t>
        </is>
      </c>
      <c r="E7" t="inlineStr"/>
      <c r="F7" t="inlineStr">
        <is>
          <t>https://www.ad-hoc-news.de/boerse/news/corporate-news/jefferies-raises-target-for-schneider-electric-stock-to-eur-329/70422255</t>
        </is>
      </c>
    </row>
    <row r="8">
      <c r="A8" t="inlineStr">
        <is>
          <t>UBS</t>
        </is>
      </c>
      <c r="B8" s="4" t="n">
        <v>350</v>
      </c>
      <c r="C8" t="inlineStr">
        <is>
          <t>Buy</t>
        </is>
      </c>
      <c r="D8" t="inlineStr">
        <is>
          <t>2026-10-22</t>
        </is>
      </c>
      <c r="E8" t="inlineStr"/>
      <c r="F8" t="inlineStr">
        <is>
          <t>https://www.ad-hoc-news.de/boerse/news/corporate-news/schneider-electric-stock-ubs-raises-target-to-eur-350-00-for-schneider-electric-stock/70399905</t>
        </is>
      </c>
    </row>
    <row r="9">
      <c r="A9" t="inlineStr">
        <is>
          <t>BofA Securities</t>
        </is>
      </c>
      <c r="B9" s="4" t="n">
        <v>356</v>
      </c>
      <c r="C9" t="inlineStr">
        <is>
          <t>Buy</t>
        </is>
      </c>
      <c r="D9" t="inlineStr">
        <is>
          <t>2026-10-22</t>
        </is>
      </c>
      <c r="E9" t="inlineStr"/>
      <c r="F9" t="inlineStr">
        <is>
          <t>https://www.ad-hoc-news.de/boerse/news/corporate-news/bofa-cuts-target-for-schneider-electric-stock-from-eur-367-to-eur-356/70414027</t>
        </is>
      </c>
    </row>
    <row r="11">
      <c r="A11" s="1" t="inlineStr">
        <is>
          <t>Median</t>
        </is>
      </c>
      <c r="B11" s="20">
        <f>MEDIAN(B4:B9)</f>
        <v/>
      </c>
    </row>
    <row r="12">
      <c r="A12" s="1" t="inlineStr">
        <is>
          <t>Mean</t>
        </is>
      </c>
      <c r="B12" s="20">
        <f>AVERAGE(B4:B9)</f>
        <v/>
      </c>
    </row>
    <row r="13">
      <c r="A13" s="1" t="inlineStr">
        <is>
          <t>Low</t>
        </is>
      </c>
      <c r="B13" s="20">
        <f>MIN(B4:B9)</f>
        <v/>
      </c>
    </row>
    <row r="14">
      <c r="A14" s="1" t="inlineStr">
        <is>
          <t>High</t>
        </is>
      </c>
      <c r="B14" s="20">
        <f>MAX(B4:B9)</f>
        <v/>
      </c>
    </row>
    <row r="15">
      <c r="A15" s="1" t="inlineStr">
        <is>
          <t>Our 12-month target</t>
        </is>
      </c>
      <c r="B15" s="23">
        <f>DCF!B16</f>
        <v/>
      </c>
    </row>
    <row r="16">
      <c r="A16" s="1" t="inlineStr">
        <is>
          <t>Ours vs median</t>
        </is>
      </c>
      <c r="B16" s="24">
        <f>B15/B11-1</f>
        <v/>
      </c>
    </row>
    <row r="17">
      <c r="A17" s="1" t="inlineStr">
        <is>
          <t>Share price</t>
        </is>
      </c>
      <c r="B17" s="20">
        <f>Sources!$C$28</f>
        <v/>
      </c>
    </row>
    <row r="18">
      <c r="A18" s="1" t="inlineStr">
        <is>
          <t>Median upside</t>
        </is>
      </c>
      <c r="B18" s="10">
        <f>B11/B17-1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1" workbookViewId="0">
      <selection activeCell="A1" sqref="A1"/>
    </sheetView>
  </sheetViews>
  <sheetFormatPr baseColWidth="8" defaultRowHeight="15"/>
  <sheetData>
    <row r="1">
      <c r="A1" s="1" t="inlineStr">
        <is>
          <t>12-month target per share (EUR) by WACC and terminal growth. Each cell recomputes the DCF.</t>
        </is>
      </c>
    </row>
    <row r="3">
      <c r="A3" t="inlineStr">
        <is>
          <t>WACC \ g</t>
        </is>
      </c>
      <c r="B3" s="5" t="n">
        <v>0.025</v>
      </c>
      <c r="C3" s="5" t="n">
        <v>0.03</v>
      </c>
      <c r="D3" s="5" t="n">
        <v>0.035</v>
      </c>
    </row>
    <row r="4">
      <c r="A4" s="5" t="n">
        <v>0.075</v>
      </c>
      <c r="B4" s="25">
        <f>((SUMPRODUCT(Forecast!$C$18:$I$18,1/(1+$A4)^Forecast!$C$19:$I$19)+Forecast!$I$18*(1+B$3)/($A4-B$3)/(1+$A4)^7-DCF!$B$7*0-(Sources!$C$9+Sources!$C$18+Sources!$C$19))/DCF!$B$12*(1+Assumptions!$B$18)^(10/12)-Assumptions!$B$14)*(1+Assumptions!$B$18)-DCF!$B$15</f>
        <v/>
      </c>
      <c r="C4" s="25">
        <f>((SUMPRODUCT(Forecast!$C$18:$I$18,1/(1+$A4)^Forecast!$C$19:$I$19)+Forecast!$I$18*(1+C$3)/($A4-C$3)/(1+$A4)^7-DCF!$B$7*0-(Sources!$C$9+Sources!$C$18+Sources!$C$19))/DCF!$B$12*(1+Assumptions!$B$18)^(10/12)-Assumptions!$B$14)*(1+Assumptions!$B$18)-DCF!$B$15</f>
        <v/>
      </c>
      <c r="D4" s="25">
        <f>((SUMPRODUCT(Forecast!$C$18:$I$18,1/(1+$A4)^Forecast!$C$19:$I$19)+Forecast!$I$18*(1+D$3)/($A4-D$3)/(1+$A4)^7-DCF!$B$7*0-(Sources!$C$9+Sources!$C$18+Sources!$C$19))/DCF!$B$12*(1+Assumptions!$B$18)^(10/12)-Assumptions!$B$14)*(1+Assumptions!$B$18)-DCF!$B$15</f>
        <v/>
      </c>
    </row>
    <row r="5">
      <c r="A5" s="5" t="n">
        <v>0.08</v>
      </c>
      <c r="B5" s="25">
        <f>((SUMPRODUCT(Forecast!$C$18:$I$18,1/(1+$A5)^Forecast!$C$19:$I$19)+Forecast!$I$18*(1+B$3)/($A5-B$3)/(1+$A5)^7-DCF!$B$7*0-(Sources!$C$9+Sources!$C$18+Sources!$C$19))/DCF!$B$12*(1+Assumptions!$B$18)^(10/12)-Assumptions!$B$14)*(1+Assumptions!$B$18)-DCF!$B$15</f>
        <v/>
      </c>
      <c r="C5" s="25">
        <f>((SUMPRODUCT(Forecast!$C$18:$I$18,1/(1+$A5)^Forecast!$C$19:$I$19)+Forecast!$I$18*(1+C$3)/($A5-C$3)/(1+$A5)^7-DCF!$B$7*0-(Sources!$C$9+Sources!$C$18+Sources!$C$19))/DCF!$B$12*(1+Assumptions!$B$18)^(10/12)-Assumptions!$B$14)*(1+Assumptions!$B$18)-DCF!$B$15</f>
        <v/>
      </c>
      <c r="D5" s="25">
        <f>((SUMPRODUCT(Forecast!$C$18:$I$18,1/(1+$A5)^Forecast!$C$19:$I$19)+Forecast!$I$18*(1+D$3)/($A5-D$3)/(1+$A5)^7-DCF!$B$7*0-(Sources!$C$9+Sources!$C$18+Sources!$C$19))/DCF!$B$12*(1+Assumptions!$B$18)^(10/12)-Assumptions!$B$14)*(1+Assumptions!$B$18)-DCF!$B$15</f>
        <v/>
      </c>
    </row>
    <row r="6">
      <c r="A6" s="5" t="n">
        <v>0.08500000000000001</v>
      </c>
      <c r="B6" s="25">
        <f>((SUMPRODUCT(Forecast!$C$18:$I$18,1/(1+$A6)^Forecast!$C$19:$I$19)+Forecast!$I$18*(1+B$3)/($A6-B$3)/(1+$A6)^7-DCF!$B$7*0-(Sources!$C$9+Sources!$C$18+Sources!$C$19))/DCF!$B$12*(1+Assumptions!$B$18)^(10/12)-Assumptions!$B$14)*(1+Assumptions!$B$18)-DCF!$B$15</f>
        <v/>
      </c>
      <c r="C6" s="25">
        <f>((SUMPRODUCT(Forecast!$C$18:$I$18,1/(1+$A6)^Forecast!$C$19:$I$19)+Forecast!$I$18*(1+C$3)/($A6-C$3)/(1+$A6)^7-DCF!$B$7*0-(Sources!$C$9+Sources!$C$18+Sources!$C$19))/DCF!$B$12*(1+Assumptions!$B$18)^(10/12)-Assumptions!$B$14)*(1+Assumptions!$B$18)-DCF!$B$15</f>
        <v/>
      </c>
      <c r="D6" s="25">
        <f>((SUMPRODUCT(Forecast!$C$18:$I$18,1/(1+$A6)^Forecast!$C$19:$I$19)+Forecast!$I$18*(1+D$3)/($A6-D$3)/(1+$A6)^7-DCF!$B$7*0-(Sources!$C$9+Sources!$C$18+Sources!$C$19))/DCF!$B$12*(1+Assumptions!$B$18)^(10/12)-Assumptions!$B$14)*(1+Assumptions!$B$18)-DCF!$B$15</f>
        <v/>
      </c>
    </row>
    <row r="7">
      <c r="A7" s="5" t="n">
        <v>0.09</v>
      </c>
      <c r="B7" s="25">
        <f>((SUMPRODUCT(Forecast!$C$18:$I$18,1/(1+$A7)^Forecast!$C$19:$I$19)+Forecast!$I$18*(1+B$3)/($A7-B$3)/(1+$A7)^7-DCF!$B$7*0-(Sources!$C$9+Sources!$C$18+Sources!$C$19))/DCF!$B$12*(1+Assumptions!$B$18)^(10/12)-Assumptions!$B$14)*(1+Assumptions!$B$18)-DCF!$B$15</f>
        <v/>
      </c>
      <c r="C7" s="25">
        <f>((SUMPRODUCT(Forecast!$C$18:$I$18,1/(1+$A7)^Forecast!$C$19:$I$19)+Forecast!$I$18*(1+C$3)/($A7-C$3)/(1+$A7)^7-DCF!$B$7*0-(Sources!$C$9+Sources!$C$18+Sources!$C$19))/DCF!$B$12*(1+Assumptions!$B$18)^(10/12)-Assumptions!$B$14)*(1+Assumptions!$B$18)-DCF!$B$15</f>
        <v/>
      </c>
      <c r="D7" s="25">
        <f>((SUMPRODUCT(Forecast!$C$18:$I$18,1/(1+$A7)^Forecast!$C$19:$I$19)+Forecast!$I$18*(1+D$3)/($A7-D$3)/(1+$A7)^7-DCF!$B$7*0-(Sources!$C$9+Sources!$C$18+Sources!$C$19))/DCF!$B$12*(1+Assumptions!$B$18)^(10/12)-Assumptions!$B$14)*(1+Assumptions!$B$18)-DCF!$B$15</f>
        <v/>
      </c>
    </row>
    <row r="8">
      <c r="A8" s="5" t="n">
        <v>0.095</v>
      </c>
      <c r="B8" s="25">
        <f>((SUMPRODUCT(Forecast!$C$18:$I$18,1/(1+$A8)^Forecast!$C$19:$I$19)+Forecast!$I$18*(1+B$3)/($A8-B$3)/(1+$A8)^7-DCF!$B$7*0-(Sources!$C$9+Sources!$C$18+Sources!$C$19))/DCF!$B$12*(1+Assumptions!$B$18)^(10/12)-Assumptions!$B$14)*(1+Assumptions!$B$18)-DCF!$B$15</f>
        <v/>
      </c>
      <c r="C8" s="25">
        <f>((SUMPRODUCT(Forecast!$C$18:$I$18,1/(1+$A8)^Forecast!$C$19:$I$19)+Forecast!$I$18*(1+C$3)/($A8-C$3)/(1+$A8)^7-DCF!$B$7*0-(Sources!$C$9+Sources!$C$18+Sources!$C$19))/DCF!$B$12*(1+Assumptions!$B$18)^(10/12)-Assumptions!$B$14)*(1+Assumptions!$B$18)-DCF!$B$15</f>
        <v/>
      </c>
      <c r="D8" s="25">
        <f>((SUMPRODUCT(Forecast!$C$18:$I$18,1/(1+$A8)^Forecast!$C$19:$I$19)+Forecast!$I$18*(1+D$3)/($A8-D$3)/(1+$A8)^7-DCF!$B$7*0-(Sources!$C$9+Sources!$C$18+Sources!$C$19))/DCF!$B$12*(1+Assumptions!$B$18)^(10/12)-Assumptions!$B$14)*(1+Assumptions!$B$18)-DCF!$B$15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2026-11-01T21:04:31Z</dcterms:created>
  <dcterms:modified xsi:type="dcterms:W3CDTF">2026-11-01T21:04:31Z</dcterms:modified>
</cp:coreProperties>
</file>